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ffcofr-my.sharepoint.com/personal/nathalie_matton_ffcorientation_fr/Documents/Documents/COMPETITION/"/>
    </mc:Choice>
  </mc:AlternateContent>
  <xr:revisionPtr revIDLastSave="6" documentId="8_{4BD59FB0-DB78-4172-864A-C88FC677855D}" xr6:coauthVersionLast="47" xr6:coauthVersionMax="47" xr10:uidLastSave="{A3E523C9-28FF-4362-8D33-72045D0D2362}"/>
  <bookViews>
    <workbookView xWindow="-120" yWindow="-120" windowWidth="29040" windowHeight="15720" tabRatio="439" xr2:uid="{00000000-000D-0000-FFFF-FFFF00000000}"/>
  </bookViews>
  <sheets>
    <sheet name="CO à pied et raid" sheetId="1" r:id="rId1"/>
    <sheet name="CO VTT" sheetId="4" r:id="rId2"/>
    <sheet name="CO ski" sheetId="5" r:id="rId3"/>
  </sheets>
  <definedNames>
    <definedName name="_xlnm.Print_Area" localSheetId="0">'CO à pied et raid'!$A$1:$L$40</definedName>
    <definedName name="_xlnm.Print_Area" localSheetId="2">'CO ski'!$A$1:$L$24</definedName>
    <definedName name="_xlnm.Print_Area" localSheetId="1">'CO VTT'!$A$1:$L$27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1" i="4"/>
  <c r="J11" i="5"/>
  <c r="J14" i="5"/>
  <c r="I14" i="5"/>
  <c r="H14" i="5"/>
  <c r="G14" i="5"/>
  <c r="F14" i="5"/>
  <c r="J14" i="4"/>
  <c r="I14" i="4"/>
  <c r="H14" i="4"/>
  <c r="G14" i="4"/>
  <c r="F14" i="4"/>
  <c r="J14" i="1"/>
  <c r="I14" i="1"/>
  <c r="H14" i="1"/>
  <c r="G14" i="1"/>
  <c r="F14" i="1"/>
  <c r="L14" i="4" l="1"/>
  <c r="L23" i="4"/>
  <c r="L24" i="4"/>
  <c r="I11" i="5"/>
  <c r="H11" i="5"/>
  <c r="G11" i="5"/>
  <c r="F11" i="5"/>
  <c r="L14" i="5" s="1"/>
  <c r="E11" i="5"/>
  <c r="I11" i="4"/>
  <c r="H11" i="4"/>
  <c r="G11" i="4"/>
  <c r="F11" i="4"/>
  <c r="E11" i="4"/>
  <c r="I11" i="1"/>
  <c r="H11" i="1"/>
  <c r="G11" i="1"/>
  <c r="F11" i="1"/>
  <c r="E11" i="1"/>
  <c r="L34" i="1" l="1"/>
  <c r="L14" i="1"/>
  <c r="L35" i="1"/>
  <c r="B30" i="1"/>
  <c r="B22" i="5" l="1"/>
  <c r="B21" i="5"/>
  <c r="B20" i="5"/>
  <c r="B19" i="5"/>
  <c r="B18" i="5"/>
  <c r="B17" i="5"/>
  <c r="C14" i="5"/>
  <c r="B14" i="5"/>
  <c r="B21" i="4"/>
  <c r="B19" i="4"/>
  <c r="B32" i="1" l="1"/>
  <c r="B31" i="1"/>
  <c r="B29" i="1"/>
  <c r="B20" i="4"/>
  <c r="B17" i="4"/>
  <c r="B18" i="4"/>
  <c r="B27" i="1" l="1"/>
  <c r="B26" i="1"/>
  <c r="B25" i="1"/>
  <c r="B21" i="1"/>
  <c r="B20" i="1"/>
  <c r="B19" i="1"/>
  <c r="C14" i="4" l="1"/>
  <c r="C14" i="1"/>
  <c r="B14" i="4" l="1"/>
  <c r="B18" i="1" l="1"/>
  <c r="B23" i="1" l="1"/>
  <c r="B17" i="1"/>
  <c r="B14" i="1"/>
</calcChain>
</file>

<file path=xl/sharedStrings.xml><?xml version="1.0" encoding="utf-8"?>
<sst xmlns="http://schemas.openxmlformats.org/spreadsheetml/2006/main" count="154" uniqueCount="71">
  <si>
    <t>libre</t>
  </si>
  <si>
    <t>Critérium National des Equipes</t>
  </si>
  <si>
    <t>DROITS D'INSCRIPTIONS ET REDEVANCES</t>
  </si>
  <si>
    <t>19 ans et plus</t>
  </si>
  <si>
    <t>Plafond du montant d'inscription</t>
  </si>
  <si>
    <t>TB</t>
  </si>
  <si>
    <t>Championnat de France de Relais-sprint</t>
  </si>
  <si>
    <t>montant fixe</t>
  </si>
  <si>
    <t>Redevance Fédérale*</t>
  </si>
  <si>
    <t>toutes épreuves</t>
  </si>
  <si>
    <t>Championnats de France individuels et Nationales</t>
  </si>
  <si>
    <t>Championnat de France des Clubs</t>
  </si>
  <si>
    <t>Equipe de 4</t>
  </si>
  <si>
    <t xml:space="preserve"> </t>
  </si>
  <si>
    <t>18 ans et moins</t>
  </si>
  <si>
    <t>O'France</t>
  </si>
  <si>
    <t>Championnat de France de Relais de catégories</t>
  </si>
  <si>
    <t>Equipe de 3 adultes (relais D21/H21, relais D35/H35, relais D45/H45)</t>
  </si>
  <si>
    <t>Equipe de 2 adultes (relais D55/H55, relais D65/H65)</t>
  </si>
  <si>
    <t>par course et par participant</t>
  </si>
  <si>
    <t>250,00 € par course</t>
  </si>
  <si>
    <t>par participant</t>
  </si>
  <si>
    <t>Equipe de 2 jeunes (relais D12/H12)</t>
  </si>
  <si>
    <t>Relais H14/D14 - Mini-Relais</t>
  </si>
  <si>
    <t>Relais autres catégories</t>
  </si>
  <si>
    <t>Trophée Thierry Gueorgiou (équipe de 4)</t>
  </si>
  <si>
    <t>Nationale 1 - Nationale 2 (équipe de 8)</t>
  </si>
  <si>
    <t>Nationale 3 - Nationale 4 (équipe de 6)</t>
  </si>
  <si>
    <t>Relais Hommes (équipe de 7)</t>
  </si>
  <si>
    <t>Relais Jeunes (équipe de 4)</t>
  </si>
  <si>
    <t>Mini-Relais (équipe de 3)</t>
  </si>
  <si>
    <t>Equipe de 2 jeunes (relais D16, relais D20)</t>
  </si>
  <si>
    <t>Equipe de 3 jeunes (relais H16, relais H20)</t>
  </si>
  <si>
    <t>500,00 € par course</t>
  </si>
  <si>
    <t>Disciplines CO à pied et raid</t>
  </si>
  <si>
    <t>Seuil 1 = 100 participants</t>
  </si>
  <si>
    <t>Interrégionales, Régionales, Départementales CN ou non-CN</t>
  </si>
  <si>
    <t>Seuil 2 = 250 participants</t>
  </si>
  <si>
    <t>Seuil 3 = 500 participants</t>
  </si>
  <si>
    <t>Seuil 4 = 1000 participants</t>
  </si>
  <si>
    <t>Seuil 5 = 1500 participants</t>
  </si>
  <si>
    <t>Montant sous seuil 1</t>
  </si>
  <si>
    <t>Montant entre seuil 1 et seuil 2</t>
  </si>
  <si>
    <t>Montant entre seuil 2 et seuil 3</t>
  </si>
  <si>
    <t>Montant entre seuil 3 et seuil 4</t>
  </si>
  <si>
    <t>Montant entre seuil 4 et seuil 5</t>
  </si>
  <si>
    <t>Montant entre seuil 5 et seuil 6</t>
  </si>
  <si>
    <t>-</t>
  </si>
  <si>
    <t>Disciplines CO à VTT</t>
  </si>
  <si>
    <t>Disciplines CO à Ski</t>
  </si>
  <si>
    <t>Relais H20/D20</t>
  </si>
  <si>
    <t>Trophée Cédric Beill</t>
  </si>
  <si>
    <t>Championnat de France de Relais</t>
  </si>
  <si>
    <t>Relais H14/D14</t>
  </si>
  <si>
    <t>Relais H18/D18</t>
  </si>
  <si>
    <t>Championnat de France de Relais mixte</t>
  </si>
  <si>
    <t>Trophée Charlotte Bouchet</t>
  </si>
  <si>
    <t>Courses à étapes</t>
  </si>
  <si>
    <t>Relais Dames (équipe de 5)</t>
  </si>
  <si>
    <r>
      <rPr>
        <b/>
        <sz val="12"/>
        <rFont val="Calibri"/>
        <family val="2"/>
      </rPr>
      <t xml:space="preserve">CO en raid </t>
    </r>
    <r>
      <rPr>
        <sz val="10"/>
        <rFont val="Calibri"/>
        <family val="2"/>
      </rPr>
      <t>(un raid sur 2 jours avec bivouac compte pour 1 course)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par participant </t>
    </r>
    <r>
      <rPr>
        <sz val="10"/>
        <rFont val="Calibri"/>
        <family val="2"/>
      </rPr>
      <t>(une équipe de 2 compte pour 2 participants)</t>
    </r>
  </si>
  <si>
    <r>
      <rPr>
        <b/>
        <sz val="12"/>
        <rFont val="Calibri"/>
        <family val="2"/>
      </rPr>
      <t>KO sprint et sprint avec qualification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compte pour 1 course</t>
    </r>
  </si>
  <si>
    <t>simulation</t>
  </si>
  <si>
    <t>Nbre de participants chronométrés</t>
  </si>
  <si>
    <t>par course</t>
  </si>
  <si>
    <t>Saison 2024</t>
  </si>
  <si>
    <t>0,22 TB</t>
  </si>
  <si>
    <t>0,27 TB</t>
  </si>
  <si>
    <t>0,35 TB</t>
  </si>
  <si>
    <t>0,5 TB</t>
  </si>
  <si>
    <t>0,7 TB</t>
  </si>
  <si>
    <t>5 Seuils de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</si>
</sst>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#,##0.00\ &quot;€&quot;"/>
  </numFmts>
  <fonts count="29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8"/>
      <name val="Arial"/>
      <family val="2"/>
    </font>
    <font>
      <sz val="10.5"/>
      <color rgb="FF000000"/>
      <name val="Liberation Sans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8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sz val="8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5" fontId="6" fillId="0" borderId="0" applyFill="0" applyBorder="0" applyAlignment="0" applyProtection="0"/>
  </cellStyleXfs>
  <cellXfs count="174">
    <xf numFmtId="0" fontId="0" fillId="0" borderId="0" xfId="0"/>
    <xf numFmtId="0" fontId="5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4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44" fontId="7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44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17" fillId="0" borderId="0" xfId="0" applyFont="1" applyAlignment="1">
      <alignment horizontal="left" wrapText="1" readingOrder="1"/>
    </xf>
    <xf numFmtId="0" fontId="18" fillId="0" borderId="0" xfId="0" applyFont="1" applyAlignment="1">
      <alignment horizontal="left" vertical="center" wrapText="1" readingOrder="1"/>
    </xf>
    <xf numFmtId="6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center" vertical="center" wrapText="1" readingOrder="1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14" fontId="20" fillId="0" borderId="0" xfId="1" applyNumberFormat="1" applyFont="1" applyAlignment="1">
      <alignment horizontal="left" vertical="top"/>
    </xf>
    <xf numFmtId="166" fontId="2" fillId="0" borderId="8" xfId="2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horizontal="center"/>
    </xf>
    <xf numFmtId="14" fontId="21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4" fontId="12" fillId="0" borderId="5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66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44" fontId="3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2" fillId="0" borderId="0" xfId="2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2" fillId="0" borderId="12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12" fillId="0" borderId="4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horizontal="center" vertical="center"/>
    </xf>
    <xf numFmtId="44" fontId="14" fillId="0" borderId="0" xfId="1" applyNumberFormat="1" applyFont="1" applyAlignment="1">
      <alignment vertical="center"/>
    </xf>
    <xf numFmtId="164" fontId="27" fillId="0" borderId="14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44" fontId="25" fillId="0" borderId="14" xfId="1" applyNumberFormat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right" vertical="center"/>
    </xf>
    <xf numFmtId="44" fontId="25" fillId="0" borderId="21" xfId="1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25" fillId="0" borderId="14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44" fontId="25" fillId="0" borderId="14" xfId="1" applyNumberFormat="1" applyFont="1" applyBorder="1" applyAlignment="1">
      <alignment vertical="center" wrapText="1"/>
    </xf>
    <xf numFmtId="44" fontId="25" fillId="0" borderId="0" xfId="1" applyNumberFormat="1" applyFont="1" applyAlignment="1">
      <alignment vertical="center" wrapText="1"/>
    </xf>
    <xf numFmtId="164" fontId="26" fillId="0" borderId="14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" fontId="25" fillId="0" borderId="0" xfId="1" applyNumberFormat="1" applyFont="1" applyAlignment="1">
      <alignment horizontal="center" vertical="center" wrapText="1"/>
    </xf>
    <xf numFmtId="1" fontId="25" fillId="0" borderId="17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9" fillId="0" borderId="0" xfId="1" applyFont="1" applyAlignment="1">
      <alignment vertical="top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/>
    </xf>
    <xf numFmtId="166" fontId="2" fillId="0" borderId="3" xfId="2" applyNumberFormat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4" fontId="3" fillId="0" borderId="1" xfId="1" applyNumberFormat="1" applyFont="1" applyBorder="1" applyAlignment="1">
      <alignment horizontal="center" vertical="center" wrapText="1"/>
    </xf>
    <xf numFmtId="44" fontId="3" fillId="0" borderId="7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center" vertical="center"/>
    </xf>
    <xf numFmtId="44" fontId="25" fillId="0" borderId="20" xfId="1" applyNumberFormat="1" applyFont="1" applyBorder="1" applyAlignment="1">
      <alignment horizontal="center" vertical="center"/>
    </xf>
    <xf numFmtId="44" fontId="25" fillId="0" borderId="2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66" fontId="2" fillId="0" borderId="9" xfId="2" applyNumberFormat="1" applyFont="1" applyFill="1" applyBorder="1" applyAlignment="1" applyProtection="1">
      <alignment horizontal="center" vertical="center"/>
    </xf>
    <xf numFmtId="166" fontId="2" fillId="0" borderId="10" xfId="2" applyNumberFormat="1" applyFont="1" applyFill="1" applyBorder="1" applyAlignment="1" applyProtection="1">
      <alignment horizontal="center" vertical="center"/>
    </xf>
    <xf numFmtId="166" fontId="2" fillId="0" borderId="7" xfId="2" applyNumberFormat="1" applyFont="1" applyFill="1" applyBorder="1" applyAlignment="1" applyProtection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2" fillId="0" borderId="12" xfId="2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44" fontId="25" fillId="0" borderId="19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44" fontId="2" fillId="0" borderId="7" xfId="2" applyNumberFormat="1" applyFont="1" applyFill="1" applyBorder="1" applyAlignment="1" applyProtection="1">
      <alignment horizontal="center" vertical="center"/>
    </xf>
    <xf numFmtId="44" fontId="2" fillId="0" borderId="6" xfId="2" applyNumberFormat="1" applyFont="1" applyFill="1" applyBorder="1" applyAlignment="1" applyProtection="1">
      <alignment horizontal="center" vertical="center"/>
    </xf>
    <xf numFmtId="44" fontId="2" fillId="0" borderId="9" xfId="2" applyNumberFormat="1" applyFont="1" applyFill="1" applyBorder="1" applyAlignment="1" applyProtection="1">
      <alignment horizontal="center" vertical="center"/>
    </xf>
    <xf numFmtId="44" fontId="2" fillId="0" borderId="1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 wrapText="1"/>
    </xf>
    <xf numFmtId="166" fontId="2" fillId="0" borderId="5" xfId="2" applyNumberFormat="1" applyFont="1" applyFill="1" applyBorder="1" applyAlignment="1" applyProtection="1">
      <alignment horizontal="center" vertical="center" wrapText="1"/>
    </xf>
    <xf numFmtId="44" fontId="2" fillId="0" borderId="4" xfId="2" applyNumberFormat="1" applyFont="1" applyFill="1" applyBorder="1" applyAlignment="1" applyProtection="1">
      <alignment horizontal="center" vertical="center"/>
    </xf>
    <xf numFmtId="44" fontId="2" fillId="0" borderId="12" xfId="2" applyNumberFormat="1" applyFont="1" applyFill="1" applyBorder="1" applyAlignment="1" applyProtection="1">
      <alignment horizontal="center" vertical="center"/>
    </xf>
    <xf numFmtId="166" fontId="2" fillId="0" borderId="5" xfId="2" applyNumberFormat="1" applyFont="1" applyFill="1" applyBorder="1" applyAlignment="1" applyProtection="1">
      <alignment horizontal="center" vertical="center"/>
    </xf>
    <xf numFmtId="166" fontId="2" fillId="0" borderId="11" xfId="2" applyNumberFormat="1" applyFont="1" applyFill="1" applyBorder="1" applyAlignment="1" applyProtection="1">
      <alignment horizontal="center"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44" fontId="25" fillId="0" borderId="20" xfId="1" applyNumberFormat="1" applyFont="1" applyBorder="1" applyAlignment="1">
      <alignment horizontal="center" vertical="center" wrapText="1"/>
    </xf>
    <xf numFmtId="44" fontId="25" fillId="0" borderId="21" xfId="1" applyNumberFormat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8" xfId="2" applyNumberFormat="1" applyFont="1" applyFill="1" applyBorder="1" applyAlignment="1" applyProtection="1">
      <alignment horizontal="center" vertical="center"/>
    </xf>
    <xf numFmtId="166" fontId="2" fillId="0" borderId="1" xfId="2" applyNumberFormat="1" applyFont="1" applyFill="1" applyBorder="1" applyAlignment="1" applyProtection="1">
      <alignment horizontal="center" vertical="center"/>
    </xf>
  </cellXfs>
  <cellStyles count="3">
    <cellStyle name="Excel Built-in Normal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08" name="Picture 2" descr="logo generique quadri_admin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10" name="Picture 2" descr="logo generique quadri_admin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FB056CD6-02BA-4C50-96A2-EA198ADC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44396382-BB4B-4495-A0E4-1E122801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16784E0D-9C38-4127-8982-F4154FA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3"/>
  <sheetViews>
    <sheetView tabSelected="1" topLeftCell="A11" zoomScaleNormal="100" workbookViewId="0">
      <selection activeCell="L12" sqref="L12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10.71093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3" width="16.85546875" style="6" customWidth="1"/>
    <col min="14" max="17" width="10.7109375" style="6"/>
    <col min="18" max="18" width="26.140625" style="6" bestFit="1" customWidth="1"/>
    <col min="19" max="16384" width="10.7109375" style="6"/>
  </cols>
  <sheetData>
    <row r="1" spans="1:33" ht="5.0999999999999996" hidden="1" customHeight="1">
      <c r="A1" s="7">
        <v>7.32</v>
      </c>
      <c r="B1" s="10" t="s">
        <v>5</v>
      </c>
      <c r="D1" s="28"/>
      <c r="F1" s="6"/>
    </row>
    <row r="2" spans="1:33" ht="32.450000000000003" customHeight="1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29"/>
    </row>
    <row r="3" spans="1:33" ht="32.450000000000003" customHeight="1">
      <c r="A3" s="122" t="s">
        <v>34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3" s="116" customFormat="1" ht="50.1" customHeight="1">
      <c r="A4" s="123" t="s">
        <v>64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17"/>
    </row>
    <row r="5" spans="1:33" s="5" customFormat="1" ht="15.6" customHeight="1">
      <c r="A5" s="4"/>
      <c r="B5" s="124" t="s">
        <v>4</v>
      </c>
      <c r="C5" s="125"/>
      <c r="D5" s="130" t="s">
        <v>8</v>
      </c>
      <c r="E5" s="133" t="s">
        <v>70</v>
      </c>
      <c r="F5" s="133"/>
      <c r="G5" s="133"/>
      <c r="H5" s="133"/>
      <c r="I5" s="133"/>
      <c r="J5" s="133"/>
      <c r="K5" s="78"/>
      <c r="L5" s="82"/>
    </row>
    <row r="6" spans="1:33" s="5" customFormat="1" ht="30">
      <c r="A6" s="53">
        <v>45468</v>
      </c>
      <c r="B6" s="126"/>
      <c r="C6" s="127"/>
      <c r="D6" s="131"/>
      <c r="E6" s="60" t="s">
        <v>35</v>
      </c>
      <c r="F6" s="60" t="s">
        <v>37</v>
      </c>
      <c r="G6" s="60" t="s">
        <v>38</v>
      </c>
      <c r="H6" s="60" t="s">
        <v>39</v>
      </c>
      <c r="I6" s="134" t="s">
        <v>40</v>
      </c>
      <c r="J6" s="135"/>
      <c r="K6" s="90"/>
      <c r="L6" s="82"/>
    </row>
    <row r="7" spans="1:33" s="57" customFormat="1" ht="12.75">
      <c r="A7" s="56"/>
      <c r="B7" s="128"/>
      <c r="C7" s="129"/>
      <c r="D7" s="132"/>
      <c r="E7" s="59" t="s">
        <v>47</v>
      </c>
      <c r="F7" s="59" t="s">
        <v>65</v>
      </c>
      <c r="G7" s="59" t="s">
        <v>66</v>
      </c>
      <c r="H7" s="59" t="s">
        <v>67</v>
      </c>
      <c r="I7" s="59" t="s">
        <v>68</v>
      </c>
      <c r="J7" s="59" t="s">
        <v>69</v>
      </c>
      <c r="K7" s="91"/>
    </row>
    <row r="8" spans="1:33" s="57" customFormat="1">
      <c r="A8" s="56"/>
      <c r="B8" s="84"/>
      <c r="C8" s="84"/>
      <c r="D8" s="83"/>
      <c r="E8" s="79"/>
      <c r="F8" s="79"/>
      <c r="G8" s="79"/>
      <c r="H8" s="89"/>
      <c r="I8" s="79"/>
      <c r="J8" s="79"/>
      <c r="K8" s="79"/>
    </row>
    <row r="9" spans="1:33" s="92" customFormat="1" ht="22.15" customHeight="1">
      <c r="A9" s="155" t="s">
        <v>61</v>
      </c>
      <c r="B9" s="111"/>
      <c r="C9" s="111"/>
      <c r="D9" s="112"/>
      <c r="E9" s="101"/>
      <c r="F9" s="101"/>
      <c r="G9" s="101"/>
      <c r="H9" s="101"/>
      <c r="I9" s="101"/>
      <c r="J9" s="101"/>
      <c r="K9" s="101"/>
      <c r="L9" s="115" t="s">
        <v>62</v>
      </c>
    </row>
    <row r="10" spans="1:33" s="94" customFormat="1" ht="12.75">
      <c r="A10" s="156"/>
      <c r="E10" s="94">
        <v>100</v>
      </c>
      <c r="F10" s="113">
        <v>150</v>
      </c>
      <c r="G10" s="113">
        <v>250</v>
      </c>
      <c r="H10" s="113">
        <v>500</v>
      </c>
      <c r="I10" s="113">
        <v>500</v>
      </c>
      <c r="J10" s="113" t="s">
        <v>13</v>
      </c>
      <c r="K10" s="95"/>
      <c r="L10" s="153">
        <v>1468</v>
      </c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33" s="94" customFormat="1" ht="12.75">
      <c r="A11" s="157"/>
      <c r="B11" s="102"/>
      <c r="C11" s="102"/>
      <c r="D11" s="102"/>
      <c r="E11" s="114">
        <f>IF(L10&gt;100,100,L10)</f>
        <v>100</v>
      </c>
      <c r="F11" s="114">
        <f>IF(L10&lt;100,0,IF(L10&gt;250,150,(L10-100)))</f>
        <v>150</v>
      </c>
      <c r="G11" s="114">
        <f>IF(L10&lt;250,0,IF(L10&gt;500,250,(L10-250)))</f>
        <v>250</v>
      </c>
      <c r="H11" s="114">
        <f>IF(L10&lt;500,0,IF(L10&gt;1000,500,(L10-500)))</f>
        <v>500</v>
      </c>
      <c r="I11" s="114">
        <f>IF(L10&lt;1000,0,IF(L10&gt;1500,500,(L10-1000)))</f>
        <v>468</v>
      </c>
      <c r="J11" s="114">
        <f>IF(L10&lt;1500,0,(L10-1500))</f>
        <v>0</v>
      </c>
      <c r="K11" s="103"/>
      <c r="L11" s="154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s="87" customFormat="1" ht="10.15" customHeight="1">
      <c r="A12" s="86"/>
      <c r="E12" s="88"/>
      <c r="F12" s="88"/>
      <c r="G12" s="88"/>
      <c r="H12" s="88"/>
      <c r="I12" s="88"/>
      <c r="J12" s="88"/>
      <c r="K12" s="88"/>
      <c r="L12" s="85"/>
      <c r="M12" s="86"/>
      <c r="N12" s="85"/>
      <c r="O12" s="85"/>
      <c r="P12" s="85"/>
      <c r="Q12" s="86"/>
      <c r="R12" s="86"/>
      <c r="S12" s="85"/>
      <c r="T12" s="86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5"/>
      <c r="AF12" s="86"/>
      <c r="AG12" s="86"/>
    </row>
    <row r="13" spans="1:33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46</v>
      </c>
      <c r="K13" s="80"/>
      <c r="L13" s="83"/>
    </row>
    <row r="14" spans="1:33" s="1" customFormat="1" ht="20.100000000000001" customHeight="1">
      <c r="A14" s="13" t="s">
        <v>10</v>
      </c>
      <c r="B14" s="120">
        <f>2.156*A1</f>
        <v>15.781920000000001</v>
      </c>
      <c r="C14" s="120">
        <f>1.381*A1</f>
        <v>10.108920000000001</v>
      </c>
      <c r="D14" s="142">
        <v>500</v>
      </c>
      <c r="E14" s="148">
        <v>0</v>
      </c>
      <c r="F14" s="148">
        <f>SUM(A1*0.22)</f>
        <v>1.6104000000000001</v>
      </c>
      <c r="G14" s="148">
        <f>INT(A1*0.27*100)/100</f>
        <v>1.97</v>
      </c>
      <c r="H14" s="148">
        <f>INT(A1*0.35*100)/100</f>
        <v>2.56</v>
      </c>
      <c r="I14" s="148">
        <f>INT(A1*0.5*100)/100</f>
        <v>3.66</v>
      </c>
      <c r="J14" s="148">
        <f>INT(A1*0.7*100)/100</f>
        <v>5.12</v>
      </c>
      <c r="K14" s="75"/>
      <c r="L14" s="136">
        <f>(F14*F11)+(G14*G11)+(H14*H11)+(I14*I11)+(J14*J11)+D14</f>
        <v>4226.9400000000005</v>
      </c>
      <c r="M14" s="20"/>
      <c r="U14" s="40"/>
      <c r="V14" s="40"/>
      <c r="W14" s="40"/>
      <c r="X14" s="38"/>
    </row>
    <row r="15" spans="1:33" s="1" customFormat="1" ht="15.75" customHeight="1">
      <c r="A15" s="14" t="s">
        <v>9</v>
      </c>
      <c r="B15" s="121"/>
      <c r="C15" s="121"/>
      <c r="D15" s="143"/>
      <c r="E15" s="148"/>
      <c r="F15" s="148"/>
      <c r="G15" s="148"/>
      <c r="H15" s="148"/>
      <c r="I15" s="148"/>
      <c r="J15" s="148"/>
      <c r="K15" s="75"/>
      <c r="L15" s="137"/>
      <c r="M15" s="20"/>
      <c r="N15" s="55"/>
      <c r="O15" s="55"/>
      <c r="P15" s="55"/>
      <c r="Q15" s="55"/>
      <c r="R15" s="55"/>
      <c r="S15" s="55"/>
      <c r="T15" s="55"/>
      <c r="U15" s="41"/>
      <c r="V15" s="41"/>
      <c r="W15" s="41"/>
      <c r="X15" s="38"/>
    </row>
    <row r="16" spans="1:33" s="1" customFormat="1" ht="20.100000000000001" customHeight="1">
      <c r="A16" s="13" t="s">
        <v>16</v>
      </c>
      <c r="B16" s="36"/>
      <c r="C16" s="52"/>
      <c r="D16" s="142">
        <v>500</v>
      </c>
      <c r="E16" s="148"/>
      <c r="F16" s="148"/>
      <c r="G16" s="148"/>
      <c r="H16" s="148"/>
      <c r="I16" s="148"/>
      <c r="J16" s="148"/>
      <c r="K16" s="75"/>
      <c r="L16" s="137"/>
      <c r="N16" s="38"/>
      <c r="O16" s="39"/>
      <c r="P16" s="42"/>
      <c r="Q16" s="41"/>
      <c r="W16" s="43"/>
      <c r="X16" s="38"/>
    </row>
    <row r="17" spans="1:24" s="1" customFormat="1" ht="15.75" customHeight="1">
      <c r="A17" s="15" t="s">
        <v>17</v>
      </c>
      <c r="B17" s="118">
        <f>2.156*A1*3</f>
        <v>47.345760000000006</v>
      </c>
      <c r="C17" s="144"/>
      <c r="D17" s="149"/>
      <c r="E17" s="148"/>
      <c r="F17" s="148"/>
      <c r="G17" s="148"/>
      <c r="H17" s="148"/>
      <c r="I17" s="148"/>
      <c r="J17" s="148"/>
      <c r="K17" s="75"/>
      <c r="L17" s="137"/>
      <c r="M17" s="1" t="s">
        <v>13</v>
      </c>
      <c r="N17" s="40"/>
      <c r="O17" s="44"/>
      <c r="P17" s="45"/>
      <c r="Q17" s="42"/>
      <c r="R17" s="46"/>
      <c r="S17" s="46"/>
      <c r="T17" s="46"/>
      <c r="U17" s="46"/>
      <c r="V17" s="46"/>
      <c r="W17" s="46"/>
      <c r="X17" s="43"/>
    </row>
    <row r="18" spans="1:24" s="1" customFormat="1" ht="15.75">
      <c r="A18" s="15" t="s">
        <v>18</v>
      </c>
      <c r="B18" s="118">
        <f>2.156*A1*2</f>
        <v>31.563840000000003</v>
      </c>
      <c r="C18" s="144"/>
      <c r="D18" s="149"/>
      <c r="E18" s="148"/>
      <c r="F18" s="148"/>
      <c r="G18" s="148"/>
      <c r="H18" s="148"/>
      <c r="I18" s="148"/>
      <c r="J18" s="148"/>
      <c r="K18" s="75"/>
      <c r="L18" s="137"/>
      <c r="N18" s="40"/>
      <c r="O18" s="44"/>
      <c r="P18" s="45"/>
      <c r="Q18" s="42"/>
      <c r="R18" s="46"/>
      <c r="S18" s="46"/>
      <c r="T18" s="46"/>
      <c r="U18" s="46"/>
      <c r="V18" s="46"/>
      <c r="W18" s="46"/>
      <c r="X18" s="43"/>
    </row>
    <row r="19" spans="1:24" s="1" customFormat="1" ht="15.75">
      <c r="A19" s="15" t="s">
        <v>31</v>
      </c>
      <c r="B19" s="118">
        <f>1.381*A1*2</f>
        <v>20.217840000000002</v>
      </c>
      <c r="C19" s="146"/>
      <c r="D19" s="149"/>
      <c r="E19" s="148"/>
      <c r="F19" s="148"/>
      <c r="G19" s="148"/>
      <c r="H19" s="148"/>
      <c r="I19" s="148"/>
      <c r="J19" s="148"/>
      <c r="K19" s="75"/>
      <c r="L19" s="137"/>
      <c r="N19" s="40"/>
      <c r="O19" s="44"/>
      <c r="P19" s="45"/>
      <c r="Q19" s="42"/>
      <c r="R19" s="46"/>
      <c r="S19" s="46"/>
      <c r="T19" s="46"/>
      <c r="U19" s="46"/>
      <c r="V19" s="46"/>
      <c r="W19" s="46"/>
      <c r="X19" s="43"/>
    </row>
    <row r="20" spans="1:24" s="1" customFormat="1" ht="15.75">
      <c r="A20" s="15" t="s">
        <v>32</v>
      </c>
      <c r="B20" s="118">
        <f>1.381*A1*3</f>
        <v>30.326760000000004</v>
      </c>
      <c r="C20" s="146"/>
      <c r="D20" s="149"/>
      <c r="E20" s="148"/>
      <c r="F20" s="148"/>
      <c r="G20" s="148"/>
      <c r="H20" s="148"/>
      <c r="I20" s="148"/>
      <c r="J20" s="148"/>
      <c r="K20" s="75"/>
      <c r="L20" s="137"/>
      <c r="N20" s="40"/>
      <c r="O20" s="44"/>
      <c r="P20" s="40"/>
      <c r="Q20" s="40"/>
      <c r="R20" s="46"/>
      <c r="S20" s="46"/>
      <c r="T20" s="46"/>
      <c r="U20" s="46"/>
      <c r="V20" s="46"/>
      <c r="W20" s="46"/>
      <c r="X20" s="43"/>
    </row>
    <row r="21" spans="1:24" s="1" customFormat="1" ht="15.75">
      <c r="A21" s="19" t="s">
        <v>22</v>
      </c>
      <c r="B21" s="140">
        <f>1.381*A1*2</f>
        <v>20.217840000000002</v>
      </c>
      <c r="C21" s="147"/>
      <c r="D21" s="143"/>
      <c r="E21" s="148"/>
      <c r="F21" s="148"/>
      <c r="G21" s="148"/>
      <c r="H21" s="148"/>
      <c r="I21" s="148"/>
      <c r="J21" s="148"/>
      <c r="K21" s="75"/>
      <c r="L21" s="137"/>
      <c r="N21" s="40"/>
      <c r="O21" s="44"/>
      <c r="P21" s="45"/>
      <c r="Q21" s="42"/>
      <c r="R21" s="46"/>
      <c r="S21" s="46"/>
      <c r="T21" s="46"/>
      <c r="U21" s="46"/>
      <c r="V21" s="46"/>
      <c r="W21" s="46"/>
      <c r="X21" s="43"/>
    </row>
    <row r="22" spans="1:24" s="1" customFormat="1" ht="20.100000000000001" customHeight="1">
      <c r="A22" s="16" t="s">
        <v>6</v>
      </c>
      <c r="B22" s="33"/>
      <c r="C22" s="34"/>
      <c r="D22" s="142">
        <v>500</v>
      </c>
      <c r="E22" s="148"/>
      <c r="F22" s="148"/>
      <c r="G22" s="148"/>
      <c r="H22" s="148"/>
      <c r="I22" s="148"/>
      <c r="J22" s="148"/>
      <c r="K22" s="75"/>
      <c r="L22" s="137"/>
      <c r="N22" s="40"/>
      <c r="O22" s="44"/>
      <c r="P22" s="42"/>
      <c r="Q22" s="42"/>
      <c r="R22" s="46"/>
      <c r="S22" s="46"/>
      <c r="T22" s="46"/>
      <c r="U22" s="46"/>
      <c r="V22" s="46"/>
      <c r="W22" s="46"/>
      <c r="X22" s="43"/>
    </row>
    <row r="23" spans="1:24" s="1" customFormat="1" ht="15.75">
      <c r="A23" s="19" t="s">
        <v>12</v>
      </c>
      <c r="B23" s="140">
        <f>2.156*4*A1</f>
        <v>63.127680000000005</v>
      </c>
      <c r="C23" s="141"/>
      <c r="D23" s="143"/>
      <c r="E23" s="148"/>
      <c r="F23" s="148"/>
      <c r="G23" s="148"/>
      <c r="H23" s="148"/>
      <c r="I23" s="148"/>
      <c r="J23" s="148"/>
      <c r="K23" s="75"/>
      <c r="L23" s="137"/>
      <c r="N23" s="40"/>
      <c r="O23" s="44"/>
      <c r="P23" s="42"/>
      <c r="Q23" s="42"/>
      <c r="R23" s="46"/>
      <c r="S23" s="46"/>
      <c r="T23" s="46"/>
      <c r="U23" s="46"/>
      <c r="V23" s="46"/>
      <c r="W23" s="46"/>
      <c r="X23" s="43"/>
    </row>
    <row r="24" spans="1:24" s="1" customFormat="1" ht="20.100000000000001" customHeight="1">
      <c r="A24" s="16" t="s">
        <v>11</v>
      </c>
      <c r="B24" s="36"/>
      <c r="C24" s="54"/>
      <c r="D24" s="142">
        <v>500</v>
      </c>
      <c r="E24" s="148"/>
      <c r="F24" s="148"/>
      <c r="G24" s="148"/>
      <c r="H24" s="148"/>
      <c r="I24" s="148"/>
      <c r="J24" s="148"/>
      <c r="K24" s="75"/>
      <c r="L24" s="137"/>
      <c r="M24" s="1" t="s">
        <v>13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5" customHeight="1">
      <c r="A25" s="15" t="s">
        <v>26</v>
      </c>
      <c r="B25" s="118">
        <f>(2.156*6+1.381*2)*A1</f>
        <v>114.90936000000001</v>
      </c>
      <c r="C25" s="119"/>
      <c r="D25" s="149"/>
      <c r="E25" s="148"/>
      <c r="F25" s="148"/>
      <c r="G25" s="148"/>
      <c r="H25" s="148"/>
      <c r="I25" s="148"/>
      <c r="J25" s="148"/>
      <c r="K25" s="75"/>
      <c r="L25" s="137"/>
    </row>
    <row r="26" spans="1:24" ht="15" customHeight="1">
      <c r="A26" s="15" t="s">
        <v>27</v>
      </c>
      <c r="B26" s="118">
        <f>(2.156*4+1.381*2)*A1</f>
        <v>83.345520000000008</v>
      </c>
      <c r="C26" s="119"/>
      <c r="D26" s="149"/>
      <c r="E26" s="148"/>
      <c r="F26" s="148"/>
      <c r="G26" s="148"/>
      <c r="H26" s="148"/>
      <c r="I26" s="148"/>
      <c r="J26" s="148"/>
      <c r="K26" s="75"/>
      <c r="L26" s="137"/>
    </row>
    <row r="27" spans="1:24" ht="15" customHeight="1">
      <c r="A27" s="19" t="s">
        <v>25</v>
      </c>
      <c r="B27" s="140">
        <f>2.156*2*A1 +1.381 *2*A1</f>
        <v>51.781680000000009</v>
      </c>
      <c r="C27" s="167"/>
      <c r="D27" s="143"/>
      <c r="E27" s="148"/>
      <c r="F27" s="148"/>
      <c r="G27" s="148"/>
      <c r="H27" s="148"/>
      <c r="I27" s="148"/>
      <c r="J27" s="148"/>
      <c r="K27" s="75"/>
      <c r="L27" s="137"/>
    </row>
    <row r="28" spans="1:24" s="1" customFormat="1" ht="20.100000000000001" customHeight="1">
      <c r="A28" s="17" t="s">
        <v>1</v>
      </c>
      <c r="B28" s="36"/>
      <c r="C28" s="52"/>
      <c r="D28" s="142">
        <v>500</v>
      </c>
      <c r="E28" s="148"/>
      <c r="F28" s="148"/>
      <c r="G28" s="148"/>
      <c r="H28" s="148"/>
      <c r="I28" s="148"/>
      <c r="J28" s="148"/>
      <c r="K28" s="75"/>
      <c r="L28" s="137"/>
    </row>
    <row r="29" spans="1:24" s="1" customFormat="1" ht="15.75" customHeight="1">
      <c r="A29" s="18" t="s">
        <v>28</v>
      </c>
      <c r="B29" s="118">
        <f>(2.156*5+1.381*2)*A1</f>
        <v>99.127440000000021</v>
      </c>
      <c r="C29" s="144"/>
      <c r="D29" s="149"/>
      <c r="E29" s="148"/>
      <c r="F29" s="148"/>
      <c r="G29" s="148"/>
      <c r="H29" s="148"/>
      <c r="I29" s="148"/>
      <c r="J29" s="148"/>
      <c r="K29" s="75"/>
      <c r="L29" s="137"/>
    </row>
    <row r="30" spans="1:24" s="1" customFormat="1" ht="15.75">
      <c r="A30" s="18" t="s">
        <v>58</v>
      </c>
      <c r="B30" s="118">
        <f>(2.156*3+1.381*2)*A1</f>
        <v>67.563600000000008</v>
      </c>
      <c r="C30" s="145"/>
      <c r="D30" s="149"/>
      <c r="E30" s="148"/>
      <c r="F30" s="148"/>
      <c r="G30" s="148"/>
      <c r="H30" s="148"/>
      <c r="I30" s="148"/>
      <c r="J30" s="148"/>
      <c r="K30" s="75"/>
      <c r="L30" s="137"/>
    </row>
    <row r="31" spans="1:24" s="1" customFormat="1" ht="15.75">
      <c r="A31" s="18" t="s">
        <v>29</v>
      </c>
      <c r="B31" s="118">
        <f>4*1.381*A1</f>
        <v>40.435680000000005</v>
      </c>
      <c r="C31" s="146"/>
      <c r="D31" s="149"/>
      <c r="E31" s="148"/>
      <c r="F31" s="148"/>
      <c r="G31" s="148"/>
      <c r="H31" s="148"/>
      <c r="I31" s="148"/>
      <c r="J31" s="148"/>
      <c r="K31" s="75"/>
      <c r="L31" s="137"/>
    </row>
    <row r="32" spans="1:24" s="1" customFormat="1" ht="15.75">
      <c r="A32" s="26" t="s">
        <v>30</v>
      </c>
      <c r="B32" s="140">
        <f>1.381*3*A1</f>
        <v>30.32676</v>
      </c>
      <c r="C32" s="147"/>
      <c r="D32" s="143"/>
      <c r="E32" s="148"/>
      <c r="F32" s="148"/>
      <c r="G32" s="148"/>
      <c r="H32" s="148"/>
      <c r="I32" s="148"/>
      <c r="J32" s="148"/>
      <c r="K32" s="75"/>
      <c r="L32" s="138"/>
    </row>
    <row r="33" spans="1:18" s="1" customFormat="1" ht="15.75" customHeight="1">
      <c r="A33" s="13" t="s">
        <v>15</v>
      </c>
      <c r="B33" s="158" t="s">
        <v>0</v>
      </c>
      <c r="C33" s="159"/>
      <c r="D33" s="162" t="s">
        <v>33</v>
      </c>
      <c r="E33" s="148"/>
      <c r="F33" s="148"/>
      <c r="G33" s="148"/>
      <c r="H33" s="148"/>
      <c r="I33" s="148"/>
      <c r="J33" s="148"/>
      <c r="K33" s="81"/>
      <c r="L33" s="104" t="s">
        <v>63</v>
      </c>
    </row>
    <row r="34" spans="1:18" s="1" customFormat="1" ht="15.75" customHeight="1">
      <c r="A34" s="15" t="s">
        <v>19</v>
      </c>
      <c r="B34" s="160"/>
      <c r="C34" s="161"/>
      <c r="D34" s="163"/>
      <c r="E34" s="148"/>
      <c r="F34" s="148"/>
      <c r="G34" s="148"/>
      <c r="H34" s="148"/>
      <c r="I34" s="148"/>
      <c r="J34" s="148"/>
      <c r="K34" s="75"/>
      <c r="L34" s="105">
        <f>(F14*F11)+(G14*G11)+(H14*H11)+(I14*I11)+(J14*J11)+D14</f>
        <v>4226.9400000000005</v>
      </c>
    </row>
    <row r="35" spans="1:18" s="1" customFormat="1" ht="15.75">
      <c r="A35" s="27" t="s">
        <v>36</v>
      </c>
      <c r="B35" s="158" t="s">
        <v>0</v>
      </c>
      <c r="C35" s="159"/>
      <c r="D35" s="120">
        <v>1E-3</v>
      </c>
      <c r="E35" s="148"/>
      <c r="F35" s="148"/>
      <c r="G35" s="148"/>
      <c r="H35" s="148"/>
      <c r="I35" s="148"/>
      <c r="J35" s="148"/>
      <c r="K35" s="81"/>
      <c r="L35" s="150">
        <f>(F14*F11)+(G14*G11)+(H14*H11)+(I14*I11)+(J14*J11)+D35</f>
        <v>3726.9410000000003</v>
      </c>
    </row>
    <row r="36" spans="1:18" s="1" customFormat="1" ht="15.75">
      <c r="A36" s="15" t="s">
        <v>21</v>
      </c>
      <c r="B36" s="164"/>
      <c r="C36" s="165"/>
      <c r="D36" s="121"/>
      <c r="E36" s="148"/>
      <c r="F36" s="148"/>
      <c r="G36" s="148"/>
      <c r="H36" s="148"/>
      <c r="I36" s="148"/>
      <c r="J36" s="148"/>
      <c r="K36" s="75"/>
      <c r="L36" s="151"/>
    </row>
    <row r="37" spans="1:18" s="1" customFormat="1" ht="30.75">
      <c r="A37" s="76" t="s">
        <v>59</v>
      </c>
      <c r="B37" s="164"/>
      <c r="C37" s="165"/>
      <c r="D37" s="121"/>
      <c r="E37" s="148"/>
      <c r="F37" s="148"/>
      <c r="G37" s="148"/>
      <c r="H37" s="148"/>
      <c r="I37" s="148"/>
      <c r="J37" s="148"/>
      <c r="K37" s="75"/>
      <c r="L37" s="151"/>
    </row>
    <row r="38" spans="1:18" s="1" customFormat="1" ht="15.75">
      <c r="A38" s="16" t="s">
        <v>57</v>
      </c>
      <c r="B38" s="164"/>
      <c r="C38" s="165"/>
      <c r="D38" s="121"/>
      <c r="E38" s="148"/>
      <c r="F38" s="148"/>
      <c r="G38" s="148"/>
      <c r="H38" s="148"/>
      <c r="I38" s="148"/>
      <c r="J38" s="148"/>
      <c r="K38" s="75"/>
      <c r="L38" s="151"/>
    </row>
    <row r="39" spans="1:18" s="1" customFormat="1" ht="15.75">
      <c r="A39" s="15" t="s">
        <v>19</v>
      </c>
      <c r="B39" s="164"/>
      <c r="C39" s="165"/>
      <c r="D39" s="121"/>
      <c r="E39" s="148"/>
      <c r="F39" s="148"/>
      <c r="G39" s="148"/>
      <c r="H39" s="148"/>
      <c r="I39" s="148"/>
      <c r="J39" s="148"/>
      <c r="K39" s="75"/>
      <c r="L39" s="151"/>
    </row>
    <row r="40" spans="1:18" s="1" customFormat="1" ht="15.75">
      <c r="A40" s="77" t="s">
        <v>60</v>
      </c>
      <c r="B40" s="160"/>
      <c r="C40" s="161"/>
      <c r="D40" s="166"/>
      <c r="E40" s="148"/>
      <c r="F40" s="148"/>
      <c r="G40" s="148"/>
      <c r="H40" s="148"/>
      <c r="I40" s="148"/>
      <c r="J40" s="148"/>
      <c r="K40" s="75"/>
      <c r="L40" s="152"/>
    </row>
    <row r="41" spans="1:18" ht="30" customHeight="1">
      <c r="A41" s="47"/>
      <c r="B41" s="21"/>
      <c r="C41" s="25"/>
      <c r="D41" s="22"/>
      <c r="E41" s="23"/>
      <c r="F41" s="24"/>
      <c r="G41" s="23"/>
      <c r="L41" s="96"/>
    </row>
    <row r="42" spans="1:18" ht="15" customHeight="1">
      <c r="A42" s="30"/>
      <c r="B42" s="21"/>
      <c r="C42" s="25"/>
      <c r="D42" s="22"/>
      <c r="E42" s="23"/>
      <c r="F42" s="24"/>
      <c r="G42" s="23"/>
      <c r="L42" s="97"/>
    </row>
    <row r="43" spans="1:18" ht="15" customHeight="1">
      <c r="A43" s="30"/>
      <c r="B43" s="21"/>
      <c r="C43" s="25"/>
      <c r="D43" s="22"/>
      <c r="E43" s="23"/>
      <c r="F43" s="24"/>
      <c r="G43" s="23"/>
      <c r="L43" s="97"/>
    </row>
    <row r="44" spans="1:18" ht="15" customHeight="1">
      <c r="A44" s="106"/>
      <c r="B44" s="106"/>
      <c r="C44" s="106"/>
      <c r="D44" s="106"/>
      <c r="E44" s="106"/>
      <c r="F44" s="106"/>
      <c r="G44" s="106"/>
      <c r="H44" s="106"/>
      <c r="I44" s="31"/>
      <c r="J44" s="31"/>
      <c r="K44" s="31"/>
      <c r="L44" s="98"/>
    </row>
    <row r="45" spans="1:18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6"/>
      <c r="L45" s="98"/>
      <c r="M45" s="67"/>
    </row>
    <row r="46" spans="1:18" s="22" customFormat="1" ht="15" customHeight="1">
      <c r="A46" s="70"/>
      <c r="B46" s="68"/>
      <c r="C46" s="69"/>
      <c r="E46" s="70"/>
      <c r="F46" s="68"/>
      <c r="G46" s="69"/>
      <c r="H46" s="63"/>
      <c r="I46" s="63"/>
      <c r="J46" s="63"/>
      <c r="K46" s="63"/>
      <c r="L46" s="98"/>
      <c r="N46" s="64"/>
      <c r="O46" s="65"/>
      <c r="P46" s="65"/>
      <c r="Q46" s="64"/>
      <c r="R46" s="65"/>
    </row>
    <row r="47" spans="1:18" ht="15" customHeight="1">
      <c r="A47" s="72"/>
      <c r="B47" s="71"/>
      <c r="C47" s="7"/>
      <c r="D47" s="6"/>
      <c r="E47" s="72"/>
      <c r="F47" s="71"/>
      <c r="G47" s="7"/>
      <c r="L47" s="98"/>
      <c r="N47" s="61"/>
      <c r="O47"/>
      <c r="P47"/>
      <c r="Q47" s="61"/>
      <c r="R47"/>
    </row>
    <row r="48" spans="1:18" ht="15" customHeight="1">
      <c r="A48" s="72"/>
      <c r="B48" s="71"/>
      <c r="C48" s="7"/>
      <c r="D48" s="6"/>
      <c r="E48" s="72"/>
      <c r="F48" s="71"/>
      <c r="G48" s="7"/>
      <c r="N48" s="61"/>
      <c r="O48"/>
      <c r="P48"/>
      <c r="Q48" s="61"/>
      <c r="R48"/>
    </row>
    <row r="49" spans="1:18" ht="15" customHeight="1">
      <c r="A49" s="72"/>
      <c r="B49" s="71"/>
      <c r="C49" s="7"/>
      <c r="D49" s="6"/>
      <c r="E49" s="72"/>
      <c r="F49" s="71"/>
      <c r="G49" s="7"/>
      <c r="N49" s="61"/>
      <c r="O49"/>
      <c r="P49"/>
      <c r="Q49" s="61"/>
      <c r="R49"/>
    </row>
    <row r="50" spans="1:18" ht="15" customHeight="1">
      <c r="A50" s="74"/>
      <c r="B50" s="73"/>
      <c r="C50" s="7"/>
      <c r="D50" s="6"/>
      <c r="E50" s="72"/>
      <c r="F50" s="71"/>
      <c r="G50" s="71"/>
      <c r="N50" s="61"/>
      <c r="O50"/>
      <c r="P50"/>
      <c r="Q50" s="61"/>
      <c r="R50"/>
    </row>
    <row r="51" spans="1:18" s="22" customFormat="1" ht="15" customHeight="1">
      <c r="A51" s="70"/>
      <c r="B51" s="68"/>
      <c r="C51" s="69"/>
      <c r="E51" s="70"/>
      <c r="F51" s="68"/>
      <c r="G51" s="69"/>
      <c r="H51" s="63"/>
      <c r="I51" s="63"/>
      <c r="J51" s="63"/>
      <c r="K51" s="63"/>
      <c r="L51" s="6"/>
      <c r="N51" s="64"/>
      <c r="O51" s="65"/>
      <c r="P51" s="65"/>
      <c r="Q51" s="64"/>
      <c r="R51" s="65"/>
    </row>
    <row r="52" spans="1:18" ht="15" customHeight="1">
      <c r="A52" s="72"/>
      <c r="B52" s="71"/>
      <c r="C52" s="7"/>
      <c r="D52" s="6"/>
      <c r="E52" s="72"/>
      <c r="F52" s="71"/>
      <c r="G52" s="7"/>
      <c r="N52" s="61"/>
      <c r="O52"/>
      <c r="P52"/>
      <c r="Q52" s="61"/>
      <c r="R52"/>
    </row>
    <row r="53" spans="1:18" ht="15" customHeight="1">
      <c r="A53" s="72"/>
      <c r="B53" s="71"/>
      <c r="C53" s="7"/>
      <c r="D53" s="6"/>
      <c r="E53" s="72"/>
      <c r="F53" s="71"/>
      <c r="G53" s="7"/>
      <c r="N53" s="61"/>
      <c r="O53"/>
      <c r="P53"/>
      <c r="Q53" s="61"/>
      <c r="R53"/>
    </row>
    <row r="54" spans="1:18" ht="15" customHeight="1">
      <c r="A54" s="72"/>
      <c r="B54" s="71"/>
      <c r="C54" s="7"/>
      <c r="D54" s="6"/>
      <c r="E54" s="72"/>
      <c r="F54" s="71"/>
      <c r="G54" s="7"/>
      <c r="N54" s="61"/>
      <c r="O54"/>
      <c r="P54"/>
      <c r="Q54" s="61"/>
      <c r="R54"/>
    </row>
    <row r="55" spans="1:18" ht="20.100000000000001" customHeight="1">
      <c r="A55" s="3"/>
      <c r="B55" s="3"/>
      <c r="F55" s="6"/>
      <c r="G55" s="61"/>
      <c r="N55" s="61"/>
      <c r="O55"/>
      <c r="P55"/>
      <c r="Q55" s="61"/>
      <c r="R55"/>
    </row>
    <row r="56" spans="1:18" s="9" customFormat="1" ht="17.45" customHeight="1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32"/>
      <c r="L56" s="6"/>
      <c r="N56"/>
      <c r="O56" s="62"/>
      <c r="P56"/>
      <c r="Q56" s="62"/>
      <c r="R56"/>
    </row>
    <row r="57" spans="1:18" ht="17.45" customHeight="1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32"/>
      <c r="N57"/>
      <c r="O57" s="62"/>
      <c r="P57"/>
      <c r="Q57" s="62"/>
      <c r="R57"/>
    </row>
    <row r="58" spans="1:18" ht="17.25">
      <c r="A58" s="48"/>
      <c r="B58" s="48"/>
      <c r="C58" s="48"/>
      <c r="D58" s="48"/>
      <c r="E58" s="48"/>
      <c r="F58" s="48"/>
      <c r="G58" s="48"/>
      <c r="H58" s="48"/>
      <c r="I58" s="32"/>
      <c r="J58" s="32"/>
      <c r="K58" s="32"/>
      <c r="N58"/>
      <c r="O58" s="62"/>
      <c r="P58" s="62"/>
      <c r="Q58"/>
      <c r="R58"/>
    </row>
    <row r="59" spans="1:18">
      <c r="N59" s="61"/>
      <c r="O59"/>
      <c r="P59"/>
      <c r="Q59"/>
      <c r="R59"/>
    </row>
    <row r="60" spans="1:18">
      <c r="N60" s="61"/>
      <c r="O60"/>
      <c r="P60"/>
      <c r="Q60"/>
      <c r="R60" s="61"/>
    </row>
    <row r="61" spans="1:18">
      <c r="N61"/>
      <c r="O61" s="62"/>
      <c r="P61"/>
      <c r="Q61" s="62"/>
      <c r="R61"/>
    </row>
    <row r="62" spans="1:18">
      <c r="N62"/>
      <c r="O62" s="62"/>
      <c r="P62"/>
      <c r="Q62" s="62"/>
      <c r="R62"/>
    </row>
    <row r="63" spans="1:18">
      <c r="N63"/>
      <c r="O63" s="62"/>
      <c r="P63" s="62"/>
      <c r="Q63"/>
      <c r="R63"/>
    </row>
  </sheetData>
  <sheetProtection selectLockedCells="1" selectUnlockedCells="1"/>
  <mergeCells count="43">
    <mergeCell ref="L35:L40"/>
    <mergeCell ref="L10:L11"/>
    <mergeCell ref="A9:A11"/>
    <mergeCell ref="A56:J56"/>
    <mergeCell ref="G14:G40"/>
    <mergeCell ref="B33:C34"/>
    <mergeCell ref="D33:D34"/>
    <mergeCell ref="D28:D32"/>
    <mergeCell ref="B35:C40"/>
    <mergeCell ref="D35:D40"/>
    <mergeCell ref="B27:C27"/>
    <mergeCell ref="I14:I40"/>
    <mergeCell ref="H14:H40"/>
    <mergeCell ref="B19:C19"/>
    <mergeCell ref="B20:C20"/>
    <mergeCell ref="B21:C21"/>
    <mergeCell ref="A57:J57"/>
    <mergeCell ref="B23:C23"/>
    <mergeCell ref="D22:D23"/>
    <mergeCell ref="B29:C29"/>
    <mergeCell ref="B30:C30"/>
    <mergeCell ref="B31:C31"/>
    <mergeCell ref="B32:C32"/>
    <mergeCell ref="E14:E40"/>
    <mergeCell ref="F14:F40"/>
    <mergeCell ref="J14:J40"/>
    <mergeCell ref="B17:C17"/>
    <mergeCell ref="B18:C18"/>
    <mergeCell ref="C14:C15"/>
    <mergeCell ref="D24:D27"/>
    <mergeCell ref="D16:D21"/>
    <mergeCell ref="D14:D15"/>
    <mergeCell ref="B25:C25"/>
    <mergeCell ref="B26:C26"/>
    <mergeCell ref="B14:B15"/>
    <mergeCell ref="A2:L2"/>
    <mergeCell ref="A3:L3"/>
    <mergeCell ref="A4:L4"/>
    <mergeCell ref="B5:C7"/>
    <mergeCell ref="D5:D7"/>
    <mergeCell ref="E5:J5"/>
    <mergeCell ref="I6:J6"/>
    <mergeCell ref="L14:L32"/>
  </mergeCells>
  <phoneticPr fontId="0" type="noConversion"/>
  <pageMargins left="0.19685039370078741" right="0" top="0" bottom="0" header="0" footer="0"/>
  <pageSetup paperSize="9" scale="6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topLeftCell="A3" zoomScaleNormal="100" workbookViewId="0">
      <selection activeCell="A7" sqref="A7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3" customWidth="1"/>
    <col min="12" max="12" width="15.7109375" style="6" customWidth="1"/>
    <col min="13" max="16384" width="10.7109375" style="6"/>
  </cols>
  <sheetData>
    <row r="1" spans="1:33" ht="18.75" hidden="1" customHeight="1">
      <c r="A1" s="7">
        <v>7.32</v>
      </c>
      <c r="B1" s="10" t="s">
        <v>5</v>
      </c>
      <c r="D1" s="28"/>
      <c r="F1" s="6"/>
    </row>
    <row r="2" spans="1:33" ht="32.450000000000003" customHeight="1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33" ht="32.450000000000003" customHeight="1">
      <c r="A3" s="122" t="s">
        <v>48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3" s="116" customFormat="1" ht="50.1" customHeight="1">
      <c r="A4" s="123" t="s">
        <v>64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33" s="5" customFormat="1" ht="15.6" customHeight="1">
      <c r="A5" s="4"/>
      <c r="B5" s="124" t="s">
        <v>4</v>
      </c>
      <c r="C5" s="125"/>
      <c r="D5" s="130" t="s">
        <v>8</v>
      </c>
      <c r="E5" s="133" t="s">
        <v>70</v>
      </c>
      <c r="F5" s="133"/>
      <c r="G5" s="133"/>
      <c r="H5" s="133"/>
      <c r="I5" s="133"/>
      <c r="J5" s="133"/>
      <c r="K5" s="78"/>
      <c r="L5" s="82"/>
    </row>
    <row r="6" spans="1:33" s="5" customFormat="1" ht="30">
      <c r="A6" s="53">
        <v>45468</v>
      </c>
      <c r="B6" s="126"/>
      <c r="C6" s="127"/>
      <c r="D6" s="131"/>
      <c r="E6" s="60" t="s">
        <v>35</v>
      </c>
      <c r="F6" s="60" t="s">
        <v>37</v>
      </c>
      <c r="G6" s="60" t="s">
        <v>38</v>
      </c>
      <c r="H6" s="60" t="s">
        <v>39</v>
      </c>
      <c r="I6" s="134" t="s">
        <v>40</v>
      </c>
      <c r="J6" s="135"/>
      <c r="K6" s="90"/>
      <c r="L6" s="82"/>
    </row>
    <row r="7" spans="1:33" s="57" customFormat="1" ht="12.75" customHeight="1">
      <c r="A7" s="56"/>
      <c r="B7" s="128"/>
      <c r="C7" s="129"/>
      <c r="D7" s="132"/>
      <c r="E7" s="59" t="s">
        <v>47</v>
      </c>
      <c r="F7" s="59" t="s">
        <v>65</v>
      </c>
      <c r="G7" s="59" t="s">
        <v>66</v>
      </c>
      <c r="H7" s="59" t="s">
        <v>67</v>
      </c>
      <c r="I7" s="59" t="s">
        <v>68</v>
      </c>
      <c r="J7" s="59" t="s">
        <v>69</v>
      </c>
      <c r="K7" s="91"/>
    </row>
    <row r="8" spans="1:33" s="57" customFormat="1">
      <c r="A8" s="56"/>
      <c r="B8" s="84"/>
      <c r="C8" s="84"/>
      <c r="D8" s="83"/>
      <c r="E8" s="79"/>
      <c r="F8" s="79"/>
      <c r="G8" s="79"/>
      <c r="H8" s="89"/>
      <c r="I8" s="79"/>
      <c r="J8" s="79"/>
      <c r="K8" s="79"/>
    </row>
    <row r="9" spans="1:33" s="92" customFormat="1" ht="22.15" customHeight="1">
      <c r="A9" s="155" t="s">
        <v>61</v>
      </c>
      <c r="B9" s="99"/>
      <c r="C9" s="99"/>
      <c r="D9" s="100"/>
      <c r="E9" s="101"/>
      <c r="F9" s="101"/>
      <c r="G9" s="101"/>
      <c r="H9" s="101"/>
      <c r="I9" s="101"/>
      <c r="J9" s="101"/>
      <c r="K9" s="101"/>
      <c r="L9" s="115" t="s">
        <v>62</v>
      </c>
    </row>
    <row r="10" spans="1:33" s="94" customFormat="1" ht="12.75">
      <c r="A10" s="156"/>
      <c r="E10" s="94">
        <v>100</v>
      </c>
      <c r="F10" s="113">
        <v>150</v>
      </c>
      <c r="G10" s="113">
        <v>250</v>
      </c>
      <c r="H10" s="113">
        <v>500</v>
      </c>
      <c r="I10" s="113">
        <v>500</v>
      </c>
      <c r="J10" s="113" t="s">
        <v>13</v>
      </c>
      <c r="K10" s="95"/>
      <c r="L10" s="153">
        <v>802</v>
      </c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33" s="94" customFormat="1" ht="12.75">
      <c r="A11" s="157"/>
      <c r="B11" s="102"/>
      <c r="C11" s="102"/>
      <c r="D11" s="102"/>
      <c r="E11" s="114">
        <f>IF(L10&gt;100,100,L10)</f>
        <v>100</v>
      </c>
      <c r="F11" s="114">
        <f>IF(L10&lt;100,0,IF(L10&gt;250,150,(L10-100)))</f>
        <v>150</v>
      </c>
      <c r="G11" s="114">
        <f>IF(L10&lt;250,0,IF(L10&gt;500,250,(L10-250)))</f>
        <v>250</v>
      </c>
      <c r="H11" s="114">
        <f>IF(L10&lt;500,0,IF(L10&gt;1000,500,(L10-500)))</f>
        <v>302</v>
      </c>
      <c r="I11" s="114">
        <f>IF(L10&lt;1000,0,IF(L10&gt;1500,500,(L10-1000)))</f>
        <v>0</v>
      </c>
      <c r="J11" s="114">
        <f>IF(L10&lt;1500,0,(L10-1500))</f>
        <v>0</v>
      </c>
      <c r="K11" s="103"/>
      <c r="L11" s="154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</row>
    <row r="12" spans="1:33" s="87" customFormat="1" ht="10.15" customHeight="1">
      <c r="A12" s="86"/>
      <c r="E12" s="88"/>
      <c r="F12" s="88"/>
      <c r="G12" s="88"/>
      <c r="H12" s="88"/>
      <c r="I12" s="88"/>
      <c r="J12" s="88"/>
      <c r="K12" s="88"/>
      <c r="L12" s="85"/>
      <c r="M12" s="86"/>
      <c r="N12" s="85"/>
      <c r="O12" s="85"/>
      <c r="P12" s="85"/>
      <c r="Q12" s="86"/>
      <c r="R12" s="86"/>
      <c r="S12" s="85"/>
      <c r="T12" s="86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5"/>
      <c r="AF12" s="86"/>
      <c r="AG12" s="86"/>
    </row>
    <row r="13" spans="1:33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46</v>
      </c>
      <c r="K13" s="80"/>
      <c r="L13" s="83"/>
    </row>
    <row r="14" spans="1:33" s="1" customFormat="1" ht="20.100000000000001" customHeight="1">
      <c r="A14" s="13" t="s">
        <v>10</v>
      </c>
      <c r="B14" s="120">
        <f>2.156*A1</f>
        <v>15.781920000000001</v>
      </c>
      <c r="C14" s="142">
        <f>1.381*A1</f>
        <v>10.108920000000001</v>
      </c>
      <c r="D14" s="162">
        <v>250</v>
      </c>
      <c r="E14" s="148">
        <v>0</v>
      </c>
      <c r="F14" s="148">
        <f>SUM(A1*0.22)</f>
        <v>1.6104000000000001</v>
      </c>
      <c r="G14" s="148">
        <f>INT(A1*0.27*100)/100</f>
        <v>1.97</v>
      </c>
      <c r="H14" s="148">
        <f>INT(A1*0.35*100)/100</f>
        <v>2.56</v>
      </c>
      <c r="I14" s="148">
        <f>INT(A1*0.5*100)/100</f>
        <v>3.66</v>
      </c>
      <c r="J14" s="148">
        <f>INT(A1*0.7*100)/100</f>
        <v>5.12</v>
      </c>
      <c r="K14" s="75"/>
      <c r="L14" s="136">
        <f>(F14*F11)+(G14*G11)+(H14*H11)+(I14*I11)+(J14*J11)+D14</f>
        <v>1757.1799999999998</v>
      </c>
    </row>
    <row r="15" spans="1:33" s="1" customFormat="1" ht="15.75">
      <c r="A15" s="14" t="s">
        <v>9</v>
      </c>
      <c r="B15" s="121"/>
      <c r="C15" s="118"/>
      <c r="D15" s="171"/>
      <c r="E15" s="148"/>
      <c r="F15" s="148"/>
      <c r="G15" s="148"/>
      <c r="H15" s="148"/>
      <c r="I15" s="148"/>
      <c r="J15" s="148"/>
      <c r="K15" s="75"/>
      <c r="L15" s="137"/>
    </row>
    <row r="16" spans="1:33" s="1" customFormat="1" ht="20.100000000000001" customHeight="1">
      <c r="A16" s="13" t="s">
        <v>52</v>
      </c>
      <c r="B16" s="36"/>
      <c r="C16" s="52"/>
      <c r="D16" s="171"/>
      <c r="E16" s="148"/>
      <c r="F16" s="148"/>
      <c r="G16" s="148"/>
      <c r="H16" s="148"/>
      <c r="I16" s="148"/>
      <c r="J16" s="148"/>
      <c r="K16" s="75"/>
      <c r="L16" s="137"/>
    </row>
    <row r="17" spans="1:12" s="1" customFormat="1" ht="15" customHeight="1">
      <c r="A17" s="18" t="s">
        <v>23</v>
      </c>
      <c r="B17" s="118">
        <f>1.381*2*A1</f>
        <v>20.217840000000002</v>
      </c>
      <c r="C17" s="146"/>
      <c r="D17" s="171"/>
      <c r="E17" s="148"/>
      <c r="F17" s="148"/>
      <c r="G17" s="148"/>
      <c r="H17" s="148"/>
      <c r="I17" s="148"/>
      <c r="J17" s="148"/>
      <c r="K17" s="75"/>
      <c r="L17" s="137"/>
    </row>
    <row r="18" spans="1:12" s="1" customFormat="1" ht="15.75">
      <c r="A18" s="35" t="s">
        <v>50</v>
      </c>
      <c r="B18" s="118">
        <f>(2.156+1.381)*A1</f>
        <v>25.890840000000001</v>
      </c>
      <c r="C18" s="146"/>
      <c r="D18" s="171"/>
      <c r="E18" s="148"/>
      <c r="F18" s="148"/>
      <c r="G18" s="148"/>
      <c r="H18" s="148"/>
      <c r="I18" s="148"/>
      <c r="J18" s="148"/>
      <c r="K18" s="75"/>
      <c r="L18" s="137"/>
    </row>
    <row r="19" spans="1:12" s="1" customFormat="1" ht="15.75">
      <c r="A19" s="19" t="s">
        <v>24</v>
      </c>
      <c r="B19" s="140">
        <f>2.156*A1*2</f>
        <v>31.563840000000003</v>
      </c>
      <c r="C19" s="147"/>
      <c r="D19" s="171"/>
      <c r="E19" s="148"/>
      <c r="F19" s="148"/>
      <c r="G19" s="148"/>
      <c r="H19" s="148"/>
      <c r="I19" s="148"/>
      <c r="J19" s="148"/>
      <c r="K19" s="75"/>
      <c r="L19" s="137"/>
    </row>
    <row r="20" spans="1:12" s="11" customFormat="1" ht="20.100000000000001" customHeight="1">
      <c r="A20" s="51" t="s">
        <v>11</v>
      </c>
      <c r="B20" s="142">
        <f>(2.156+1.381)*2*A1</f>
        <v>51.781680000000001</v>
      </c>
      <c r="C20" s="168"/>
      <c r="D20" s="171"/>
      <c r="E20" s="148"/>
      <c r="F20" s="148"/>
      <c r="G20" s="148"/>
      <c r="H20" s="148"/>
      <c r="I20" s="148"/>
      <c r="J20" s="148"/>
      <c r="K20" s="75"/>
      <c r="L20" s="137"/>
    </row>
    <row r="21" spans="1:12" s="1" customFormat="1" ht="15.75">
      <c r="A21" s="49" t="s">
        <v>51</v>
      </c>
      <c r="B21" s="140">
        <f>(2.156+1.381)*A1</f>
        <v>25.890840000000001</v>
      </c>
      <c r="C21" s="167"/>
      <c r="D21" s="163"/>
      <c r="E21" s="148"/>
      <c r="F21" s="148"/>
      <c r="G21" s="148"/>
      <c r="H21" s="148"/>
      <c r="I21" s="148"/>
      <c r="J21" s="148"/>
      <c r="K21" s="75"/>
      <c r="L21" s="138"/>
    </row>
    <row r="22" spans="1:12" s="1" customFormat="1" ht="20.100000000000001" customHeight="1">
      <c r="A22" s="13" t="s">
        <v>15</v>
      </c>
      <c r="B22" s="142" t="s">
        <v>0</v>
      </c>
      <c r="C22" s="172"/>
      <c r="D22" s="162" t="s">
        <v>20</v>
      </c>
      <c r="E22" s="148"/>
      <c r="F22" s="148"/>
      <c r="G22" s="148"/>
      <c r="H22" s="148"/>
      <c r="I22" s="148"/>
      <c r="J22" s="148"/>
      <c r="K22" s="75"/>
      <c r="L22" s="104" t="s">
        <v>63</v>
      </c>
    </row>
    <row r="23" spans="1:12" s="1" customFormat="1" ht="15.75">
      <c r="A23" s="26" t="s">
        <v>19</v>
      </c>
      <c r="B23" s="140"/>
      <c r="C23" s="141"/>
      <c r="D23" s="163"/>
      <c r="E23" s="148"/>
      <c r="F23" s="148"/>
      <c r="G23" s="148"/>
      <c r="H23" s="148"/>
      <c r="I23" s="148"/>
      <c r="J23" s="148"/>
      <c r="K23" s="75"/>
      <c r="L23" s="105">
        <f>(F14*F11)+(G14*G11)+(H14*H11)+(I14*I11)+(J14*J11)+D14</f>
        <v>1757.1799999999998</v>
      </c>
    </row>
    <row r="24" spans="1:12" s="1" customFormat="1" ht="20.100000000000001" customHeight="1">
      <c r="A24" s="13" t="s">
        <v>36</v>
      </c>
      <c r="B24" s="142" t="s">
        <v>0</v>
      </c>
      <c r="C24" s="168"/>
      <c r="D24" s="120">
        <v>1E-3</v>
      </c>
      <c r="E24" s="148"/>
      <c r="F24" s="148"/>
      <c r="G24" s="148"/>
      <c r="H24" s="148"/>
      <c r="I24" s="148"/>
      <c r="J24" s="148"/>
      <c r="K24" s="75"/>
      <c r="L24" s="150">
        <f>(F14*F11)+(G14*G11)+(H14*H11)+(I14*I11)+(J14*J11)+D24</f>
        <v>1507.1809999999998</v>
      </c>
    </row>
    <row r="25" spans="1:12" s="1" customFormat="1" ht="15.75">
      <c r="A25" s="15" t="s">
        <v>21</v>
      </c>
      <c r="B25" s="118"/>
      <c r="C25" s="144"/>
      <c r="D25" s="121"/>
      <c r="E25" s="148"/>
      <c r="F25" s="148"/>
      <c r="G25" s="148"/>
      <c r="H25" s="148"/>
      <c r="I25" s="148"/>
      <c r="J25" s="148"/>
      <c r="K25" s="75"/>
      <c r="L25" s="169"/>
    </row>
    <row r="26" spans="1:12" s="1" customFormat="1" ht="15.75">
      <c r="A26" s="16" t="s">
        <v>57</v>
      </c>
      <c r="B26" s="118"/>
      <c r="C26" s="144"/>
      <c r="D26" s="121"/>
      <c r="E26" s="148"/>
      <c r="F26" s="148"/>
      <c r="G26" s="148"/>
      <c r="H26" s="148"/>
      <c r="I26" s="148"/>
      <c r="J26" s="148"/>
      <c r="K26" s="75"/>
      <c r="L26" s="169"/>
    </row>
    <row r="27" spans="1:12" s="1" customFormat="1" ht="15.75">
      <c r="A27" s="19" t="s">
        <v>19</v>
      </c>
      <c r="B27" s="140"/>
      <c r="C27" s="167"/>
      <c r="D27" s="166"/>
      <c r="E27" s="148"/>
      <c r="F27" s="148"/>
      <c r="G27" s="148"/>
      <c r="H27" s="148"/>
      <c r="I27" s="148"/>
      <c r="J27" s="148"/>
      <c r="K27" s="75"/>
      <c r="L27" s="170"/>
    </row>
    <row r="28" spans="1:12">
      <c r="L28" s="107"/>
    </row>
    <row r="29" spans="1:12">
      <c r="L29" s="108"/>
    </row>
    <row r="31" spans="1:12">
      <c r="K31" s="63"/>
    </row>
    <row r="36" spans="11:11" ht="17.25">
      <c r="K36" s="32"/>
    </row>
    <row r="37" spans="11:11" ht="17.25">
      <c r="K37" s="32"/>
    </row>
    <row r="38" spans="11:11" ht="17.25">
      <c r="K38" s="32"/>
    </row>
  </sheetData>
  <sheetProtection selectLockedCells="1" selectUnlockedCells="1"/>
  <mergeCells count="29">
    <mergeCell ref="B5:C7"/>
    <mergeCell ref="D5:D7"/>
    <mergeCell ref="E5:J5"/>
    <mergeCell ref="G14:G27"/>
    <mergeCell ref="H14:H27"/>
    <mergeCell ref="B22:C23"/>
    <mergeCell ref="I6:J6"/>
    <mergeCell ref="L24:L27"/>
    <mergeCell ref="A9:A11"/>
    <mergeCell ref="L10:L11"/>
    <mergeCell ref="D14:D21"/>
    <mergeCell ref="B14:B15"/>
    <mergeCell ref="C14:C15"/>
    <mergeCell ref="A2:L2"/>
    <mergeCell ref="A3:L3"/>
    <mergeCell ref="A4:L4"/>
    <mergeCell ref="I14:I27"/>
    <mergeCell ref="J14:J27"/>
    <mergeCell ref="F14:F27"/>
    <mergeCell ref="B17:C17"/>
    <mergeCell ref="B20:C20"/>
    <mergeCell ref="B18:C18"/>
    <mergeCell ref="B19:C19"/>
    <mergeCell ref="B21:C21"/>
    <mergeCell ref="B24:C27"/>
    <mergeCell ref="D24:D27"/>
    <mergeCell ref="E14:E27"/>
    <mergeCell ref="D22:D23"/>
    <mergeCell ref="L14:L21"/>
  </mergeCells>
  <pageMargins left="0.19685039370078741" right="0" top="0.39370078740157483" bottom="0" header="0" footer="0"/>
  <pageSetup paperSize="9" scale="6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topLeftCell="A2" zoomScaleNormal="100" workbookViewId="0">
      <selection activeCell="A7" sqref="A7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0" width="13.7109375" style="3" customWidth="1"/>
    <col min="11" max="11" width="4.7109375" style="6" customWidth="1"/>
    <col min="12" max="12" width="15.7109375" style="6" customWidth="1"/>
    <col min="13" max="16384" width="10.7109375" style="6"/>
  </cols>
  <sheetData>
    <row r="1" spans="1:34" ht="14.25" hidden="1" customHeight="1">
      <c r="A1" s="7">
        <v>7.32</v>
      </c>
      <c r="B1" s="10" t="s">
        <v>5</v>
      </c>
      <c r="D1" s="28"/>
      <c r="F1" s="6"/>
    </row>
    <row r="2" spans="1:34" ht="32.450000000000003" customHeight="1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34" ht="32.450000000000003" customHeight="1">
      <c r="A3" s="122" t="s">
        <v>49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34" s="116" customFormat="1" ht="50.1" customHeight="1">
      <c r="A4" s="123" t="s">
        <v>64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34" s="5" customFormat="1" ht="15.6" customHeight="1">
      <c r="A5" s="4"/>
      <c r="B5" s="124" t="s">
        <v>4</v>
      </c>
      <c r="C5" s="125"/>
      <c r="D5" s="130" t="s">
        <v>8</v>
      </c>
      <c r="E5" s="133" t="s">
        <v>70</v>
      </c>
      <c r="F5" s="133"/>
      <c r="G5" s="133"/>
      <c r="H5" s="133"/>
      <c r="I5" s="133"/>
      <c r="J5" s="133"/>
    </row>
    <row r="6" spans="1:34" s="5" customFormat="1" ht="30">
      <c r="A6" s="53">
        <v>45468</v>
      </c>
      <c r="B6" s="126"/>
      <c r="C6" s="127"/>
      <c r="D6" s="131"/>
      <c r="E6" s="60" t="s">
        <v>35</v>
      </c>
      <c r="F6" s="60" t="s">
        <v>37</v>
      </c>
      <c r="G6" s="60" t="s">
        <v>38</v>
      </c>
      <c r="H6" s="60" t="s">
        <v>39</v>
      </c>
      <c r="I6" s="134" t="s">
        <v>40</v>
      </c>
      <c r="J6" s="135"/>
    </row>
    <row r="7" spans="1:34" s="57" customFormat="1" ht="12.75" customHeight="1">
      <c r="A7" s="56"/>
      <c r="B7" s="128"/>
      <c r="C7" s="129"/>
      <c r="D7" s="132"/>
      <c r="E7" s="59" t="s">
        <v>47</v>
      </c>
      <c r="F7" s="59" t="s">
        <v>65</v>
      </c>
      <c r="G7" s="59" t="s">
        <v>66</v>
      </c>
      <c r="H7" s="59" t="s">
        <v>67</v>
      </c>
      <c r="I7" s="59" t="s">
        <v>68</v>
      </c>
      <c r="J7" s="59" t="s">
        <v>69</v>
      </c>
    </row>
    <row r="8" spans="1:34" s="57" customFormat="1">
      <c r="B8" s="56"/>
      <c r="C8" s="84"/>
      <c r="D8" s="84"/>
      <c r="E8" s="83"/>
      <c r="F8" s="79"/>
      <c r="G8" s="79"/>
      <c r="H8" s="79"/>
      <c r="I8" s="89"/>
      <c r="J8" s="79"/>
      <c r="K8" s="79"/>
      <c r="L8" s="79"/>
    </row>
    <row r="9" spans="1:34" s="92" customFormat="1" ht="22.15" customHeight="1">
      <c r="A9" s="155" t="s">
        <v>61</v>
      </c>
      <c r="B9" s="111"/>
      <c r="C9" s="111"/>
      <c r="D9" s="112"/>
      <c r="E9" s="101"/>
      <c r="F9" s="101"/>
      <c r="G9" s="101"/>
      <c r="H9" s="101"/>
      <c r="I9" s="101"/>
      <c r="J9" s="101"/>
      <c r="K9" s="101"/>
      <c r="L9" s="115" t="s">
        <v>62</v>
      </c>
    </row>
    <row r="10" spans="1:34" s="94" customFormat="1" ht="12.75">
      <c r="A10" s="156"/>
      <c r="E10" s="94">
        <v>100</v>
      </c>
      <c r="F10" s="113">
        <v>150</v>
      </c>
      <c r="G10" s="113">
        <v>250</v>
      </c>
      <c r="H10" s="113">
        <v>500</v>
      </c>
      <c r="I10" s="113">
        <v>500</v>
      </c>
      <c r="J10" s="113" t="s">
        <v>13</v>
      </c>
      <c r="K10" s="95"/>
      <c r="L10" s="153">
        <v>2020</v>
      </c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s="94" customFormat="1" ht="12.75">
      <c r="A11" s="157"/>
      <c r="B11" s="102"/>
      <c r="C11" s="102"/>
      <c r="D11" s="102"/>
      <c r="E11" s="114">
        <f>IF(L10&gt;100,100,L10)</f>
        <v>100</v>
      </c>
      <c r="F11" s="114">
        <f>IF(L10&lt;100,0,IF(L10&gt;250,150,(L10-100)))</f>
        <v>150</v>
      </c>
      <c r="G11" s="114">
        <f>IF(L10&lt;250,0,IF(L10&gt;500,250,(L10-250)))</f>
        <v>250</v>
      </c>
      <c r="H11" s="114">
        <f>IF(L10&lt;500,0,IF(L10&gt;1000,500,(L10-500)))</f>
        <v>500</v>
      </c>
      <c r="I11" s="114">
        <f>IF(L10&lt;1000,0,IF(L10&gt;1500,500,(L10-1000)))</f>
        <v>500</v>
      </c>
      <c r="J11" s="114">
        <f>IF(L10&lt;1500,0,(L10-1500))</f>
        <v>520</v>
      </c>
      <c r="K11" s="103"/>
      <c r="L11" s="154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</row>
    <row r="12" spans="1:34" s="87" customFormat="1" ht="10.15" customHeight="1">
      <c r="A12" s="86"/>
      <c r="B12" s="86"/>
      <c r="F12" s="88"/>
      <c r="G12" s="88"/>
      <c r="H12" s="88"/>
      <c r="I12" s="88"/>
      <c r="J12" s="88"/>
      <c r="K12" s="88"/>
      <c r="L12" s="88"/>
      <c r="M12" s="85"/>
      <c r="N12" s="86"/>
      <c r="O12" s="85"/>
      <c r="P12" s="85"/>
      <c r="Q12" s="85"/>
      <c r="R12" s="86"/>
      <c r="S12" s="86"/>
      <c r="T12" s="85"/>
      <c r="U12" s="86"/>
      <c r="V12" s="85"/>
      <c r="W12" s="86"/>
      <c r="X12" s="86"/>
      <c r="Y12" s="86"/>
      <c r="Z12" s="86"/>
      <c r="AA12" s="86"/>
      <c r="AB12" s="86"/>
      <c r="AC12" s="86"/>
      <c r="AD12" s="86"/>
      <c r="AE12" s="86"/>
      <c r="AF12" s="85"/>
      <c r="AG12" s="86"/>
      <c r="AH12" s="86"/>
    </row>
    <row r="13" spans="1:34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41</v>
      </c>
      <c r="F13" s="37" t="s">
        <v>42</v>
      </c>
      <c r="G13" s="37" t="s">
        <v>43</v>
      </c>
      <c r="H13" s="37" t="s">
        <v>44</v>
      </c>
      <c r="I13" s="37" t="s">
        <v>45</v>
      </c>
      <c r="J13" s="37" t="s">
        <v>46</v>
      </c>
    </row>
    <row r="14" spans="1:34" s="1" customFormat="1" ht="20.100000000000001" customHeight="1">
      <c r="A14" s="13" t="s">
        <v>10</v>
      </c>
      <c r="B14" s="120">
        <f>2.156*A1</f>
        <v>15.781920000000001</v>
      </c>
      <c r="C14" s="142">
        <f>1.381*A1</f>
        <v>10.108920000000001</v>
      </c>
      <c r="D14" s="162">
        <v>0</v>
      </c>
      <c r="E14" s="148">
        <v>0</v>
      </c>
      <c r="F14" s="148">
        <f>SUM(A1*0.22)</f>
        <v>1.6104000000000001</v>
      </c>
      <c r="G14" s="148">
        <f>INT(A1*0.27*100)/100</f>
        <v>1.97</v>
      </c>
      <c r="H14" s="148">
        <f>INT(A1*0.35*100)/100</f>
        <v>2.56</v>
      </c>
      <c r="I14" s="148">
        <f>INT(A1*0.5*100)/100</f>
        <v>3.66</v>
      </c>
      <c r="J14" s="148">
        <f>INT(A1*0.7*100)/100</f>
        <v>5.12</v>
      </c>
      <c r="K14" s="20"/>
      <c r="L14" s="136">
        <f>(F14*F11)+(G14*G11)+(H14*H11)+(I14*I11)+(J14*J11)+D14</f>
        <v>6506.46</v>
      </c>
    </row>
    <row r="15" spans="1:34" s="1" customFormat="1" ht="15.75">
      <c r="A15" s="14" t="s">
        <v>9</v>
      </c>
      <c r="B15" s="121"/>
      <c r="C15" s="118"/>
      <c r="D15" s="171"/>
      <c r="E15" s="148"/>
      <c r="F15" s="148"/>
      <c r="G15" s="148"/>
      <c r="H15" s="148"/>
      <c r="I15" s="148"/>
      <c r="J15" s="148"/>
      <c r="K15" s="20"/>
      <c r="L15" s="137"/>
    </row>
    <row r="16" spans="1:34" s="1" customFormat="1" ht="20.100000000000001" customHeight="1">
      <c r="A16" s="13" t="s">
        <v>16</v>
      </c>
      <c r="B16" s="36"/>
      <c r="C16" s="52"/>
      <c r="D16" s="171"/>
      <c r="E16" s="148"/>
      <c r="F16" s="148"/>
      <c r="G16" s="148"/>
      <c r="H16" s="148"/>
      <c r="I16" s="148"/>
      <c r="J16" s="148"/>
      <c r="K16" s="20"/>
      <c r="L16" s="137"/>
    </row>
    <row r="17" spans="1:12" s="1" customFormat="1" ht="15" customHeight="1">
      <c r="A17" s="18" t="s">
        <v>53</v>
      </c>
      <c r="B17" s="118">
        <f>1.381*2*A1</f>
        <v>20.217840000000002</v>
      </c>
      <c r="C17" s="146"/>
      <c r="D17" s="171"/>
      <c r="E17" s="148"/>
      <c r="F17" s="148"/>
      <c r="G17" s="148"/>
      <c r="H17" s="148"/>
      <c r="I17" s="148"/>
      <c r="J17" s="148"/>
      <c r="L17" s="137"/>
    </row>
    <row r="18" spans="1:12" s="1" customFormat="1" ht="15.75">
      <c r="A18" s="35" t="s">
        <v>54</v>
      </c>
      <c r="B18" s="118">
        <f>(2.156+1.381)*A1</f>
        <v>25.890840000000001</v>
      </c>
      <c r="C18" s="146"/>
      <c r="D18" s="171"/>
      <c r="E18" s="148"/>
      <c r="F18" s="148"/>
      <c r="G18" s="148"/>
      <c r="H18" s="148"/>
      <c r="I18" s="148"/>
      <c r="J18" s="148"/>
      <c r="K18" s="1" t="s">
        <v>13</v>
      </c>
      <c r="L18" s="137"/>
    </row>
    <row r="19" spans="1:12" s="1" customFormat="1" ht="15.75">
      <c r="A19" s="19" t="s">
        <v>24</v>
      </c>
      <c r="B19" s="140">
        <f>2.156*A1*2</f>
        <v>31.563840000000003</v>
      </c>
      <c r="C19" s="147"/>
      <c r="D19" s="171"/>
      <c r="E19" s="148"/>
      <c r="F19" s="148"/>
      <c r="G19" s="148"/>
      <c r="H19" s="148"/>
      <c r="I19" s="148"/>
      <c r="J19" s="148"/>
      <c r="L19" s="137"/>
    </row>
    <row r="20" spans="1:12" s="1" customFormat="1" ht="20.100000000000001" customHeight="1">
      <c r="A20" s="50" t="s">
        <v>55</v>
      </c>
      <c r="B20" s="118">
        <f>(2.156+1.381)*A1</f>
        <v>25.890840000000001</v>
      </c>
      <c r="C20" s="144"/>
      <c r="D20" s="171"/>
      <c r="E20" s="148"/>
      <c r="F20" s="148"/>
      <c r="G20" s="148"/>
      <c r="H20" s="148"/>
      <c r="I20" s="148"/>
      <c r="J20" s="148"/>
      <c r="L20" s="137"/>
    </row>
    <row r="21" spans="1:12" s="11" customFormat="1" ht="20.100000000000001" customHeight="1">
      <c r="A21" s="51" t="s">
        <v>11</v>
      </c>
      <c r="B21" s="142">
        <f>(2.156+1.381)*2*A1</f>
        <v>51.781680000000001</v>
      </c>
      <c r="C21" s="168"/>
      <c r="D21" s="171"/>
      <c r="E21" s="148"/>
      <c r="F21" s="148"/>
      <c r="G21" s="148"/>
      <c r="H21" s="148"/>
      <c r="I21" s="148"/>
      <c r="J21" s="148"/>
      <c r="L21" s="137"/>
    </row>
    <row r="22" spans="1:12" s="1" customFormat="1" ht="15.75">
      <c r="A22" s="49" t="s">
        <v>56</v>
      </c>
      <c r="B22" s="140">
        <f>(2.156+1.381)*A1</f>
        <v>25.890840000000001</v>
      </c>
      <c r="C22" s="167"/>
      <c r="D22" s="171"/>
      <c r="E22" s="148"/>
      <c r="F22" s="148"/>
      <c r="G22" s="148"/>
      <c r="H22" s="148"/>
      <c r="I22" s="148"/>
      <c r="J22" s="148"/>
      <c r="L22" s="137"/>
    </row>
    <row r="23" spans="1:12" s="1" customFormat="1" ht="20.100000000000001" customHeight="1">
      <c r="A23" s="13" t="s">
        <v>36</v>
      </c>
      <c r="B23" s="173" t="s">
        <v>0</v>
      </c>
      <c r="C23" s="173"/>
      <c r="D23" s="171"/>
      <c r="E23" s="148"/>
      <c r="F23" s="148"/>
      <c r="G23" s="148"/>
      <c r="H23" s="148"/>
      <c r="I23" s="148"/>
      <c r="J23" s="148"/>
      <c r="L23" s="137"/>
    </row>
    <row r="24" spans="1:12" s="1" customFormat="1" ht="15.75">
      <c r="A24" s="19" t="s">
        <v>21</v>
      </c>
      <c r="B24" s="173"/>
      <c r="C24" s="173"/>
      <c r="D24" s="163"/>
      <c r="E24" s="148"/>
      <c r="F24" s="148"/>
      <c r="G24" s="148"/>
      <c r="H24" s="148"/>
      <c r="I24" s="148"/>
      <c r="J24" s="148"/>
      <c r="L24" s="138"/>
    </row>
    <row r="25" spans="1:12">
      <c r="L25" s="109"/>
    </row>
    <row r="26" spans="1:12">
      <c r="L26" s="110"/>
    </row>
    <row r="27" spans="1:12">
      <c r="L27" s="110"/>
    </row>
  </sheetData>
  <sheetProtection selectLockedCells="1" selectUnlockedCells="1"/>
  <mergeCells count="26">
    <mergeCell ref="L14:L24"/>
    <mergeCell ref="D14:D24"/>
    <mergeCell ref="H14:H24"/>
    <mergeCell ref="I14:I24"/>
    <mergeCell ref="J14:J24"/>
    <mergeCell ref="E14:E24"/>
    <mergeCell ref="F14:F24"/>
    <mergeCell ref="G14:G24"/>
    <mergeCell ref="A2:L2"/>
    <mergeCell ref="A3:L3"/>
    <mergeCell ref="A4:L4"/>
    <mergeCell ref="L10:L11"/>
    <mergeCell ref="A9:A11"/>
    <mergeCell ref="I6:J6"/>
    <mergeCell ref="B23:C24"/>
    <mergeCell ref="B5:C7"/>
    <mergeCell ref="D5:D7"/>
    <mergeCell ref="E5:J5"/>
    <mergeCell ref="B17:C17"/>
    <mergeCell ref="B18:C18"/>
    <mergeCell ref="B19:C19"/>
    <mergeCell ref="B20:C20"/>
    <mergeCell ref="B21:C21"/>
    <mergeCell ref="B22:C22"/>
    <mergeCell ref="B14:B15"/>
    <mergeCell ref="C14:C15"/>
  </mergeCells>
  <pageMargins left="0.19685039370078741" right="0" top="0.39370078740157483" bottom="0" header="0" footer="0"/>
  <pageSetup paperSize="9" scale="6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 à pied et raid</vt:lpstr>
      <vt:lpstr>CO VTT</vt:lpstr>
      <vt:lpstr>CO ski</vt:lpstr>
      <vt:lpstr>'CO à pied et raid'!Zone_d_impression</vt:lpstr>
      <vt:lpstr>'CO ski'!Zone_d_impression</vt:lpstr>
      <vt:lpstr>'CO VTT'!Zone_d_impression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 MATTON</cp:lastModifiedBy>
  <cp:lastPrinted>2023-06-06T10:21:59Z</cp:lastPrinted>
  <dcterms:created xsi:type="dcterms:W3CDTF">2011-09-21T11:01:00Z</dcterms:created>
  <dcterms:modified xsi:type="dcterms:W3CDTF">2024-06-25T09:22:28Z</dcterms:modified>
</cp:coreProperties>
</file>